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<sst xmlns="http://schemas.openxmlformats.org/spreadsheetml/2006/main" count="171" uniqueCount="153">
  <si>
    <t>FSTEP = FXO/2^19</t>
  </si>
  <si>
    <t>REG_BITRATEMSB</t>
  </si>
  <si>
    <t>Bit rate = FXO/BitRate bits</t>
  </si>
  <si>
    <t>bits/s</t>
  </si>
  <si>
    <t>BR is in datasheet</t>
  </si>
  <si>
    <t>The lower those two are, better sensitivity you get</t>
  </si>
  <si>
    <t>REG_BITRATELSB</t>
  </si>
  <si>
    <t>1.2kb/s and 5kHz = -118dBm, or -120dBm if you set</t>
  </si>
  <si>
    <t>RF_FDEVMSB</t>
  </si>
  <si>
    <t>Fdev=Fstep*Fdev bits</t>
  </si>
  <si>
    <t>Hz</t>
  </si>
  <si>
    <t>FDA range = 0.6 - 300 kHz</t>
  </si>
  <si>
    <t>(FDEV + BitRate / 2 &lt;= 500KHz)</t>
  </si>
  <si>
    <t>FDA is in datasheet</t>
  </si>
  <si>
    <t>SensitivityBoost in RegTestLna to 0x2D to reduce the noise floor in the receiver</t>
  </si>
  <si>
    <t>RF_FDEVLSB</t>
  </si>
  <si>
    <t>kHz</t>
  </si>
  <si>
    <t>D9</t>
  </si>
  <si>
    <t>RF_FRFMSB</t>
  </si>
  <si>
    <t>RF_FRFMID</t>
  </si>
  <si>
    <t>Frf = Fstep/Frf bits</t>
  </si>
  <si>
    <t>MHz</t>
  </si>
  <si>
    <t>RF_FRFLSB</t>
  </si>
  <si>
    <t>0A</t>
  </si>
  <si>
    <t>0B</t>
  </si>
  <si>
    <t>RegAfcCtrl</t>
  </si>
  <si>
    <t>Standard</t>
  </si>
  <si>
    <t>0C</t>
  </si>
  <si>
    <t>0D</t>
  </si>
  <si>
    <t>RegListen1</t>
  </si>
  <si>
    <t>0E</t>
  </si>
  <si>
    <t>F5</t>
  </si>
  <si>
    <t>0F</t>
  </si>
  <si>
    <t>REG_PALEVEL</t>
  </si>
  <si>
    <t>Pa1On + Pa2On</t>
  </si>
  <si>
    <t>2 to +17 dBm</t>
  </si>
  <si>
    <t>Output power 0-31 steps</t>
  </si>
  <si>
    <t>Output power setting, with 1 dB steps</t>
  </si>
  <si>
    <t>https://andrehessling.de/2015/02/07/figuring-out-the-power-level-settings-of-hoperfs-rfm69-hwhcw-modules/</t>
  </si>
  <si>
    <t>RegPaRamp</t>
  </si>
  <si>
    <t>40us ramp</t>
  </si>
  <si>
    <t>Pout = -18 + OutputPower [dBm] , with PA0</t>
  </si>
  <si>
    <t>1F</t>
  </si>
  <si>
    <t>Imax = 45+ 5* OcpTrip mA</t>
  </si>
  <si>
    <t>mA</t>
  </si>
  <si>
    <t>Pout = -18 + OutputPower [dBm] , with PA1**</t>
  </si>
  <si>
    <t>Pout = -14+ OutputPower [dBm] , with PA1 and PA2**</t>
  </si>
  <si>
    <t>B0</t>
  </si>
  <si>
    <t>Pout = -11 + OutputPower [dBm] , with PA1 and PA2, and high Power PA settings</t>
  </si>
  <si>
    <t>7B</t>
  </si>
  <si>
    <t>9B</t>
  </si>
  <si>
    <t>RegLna</t>
  </si>
  <si>
    <t>50 Ohms</t>
  </si>
  <si>
    <t>REG_RXBW</t>
  </si>
  <si>
    <t>32M/RxBwMant*2^(RxBwExp+2)</t>
  </si>
  <si>
    <t>To use narrow fdev you need to reduce the frequency offset between both nodes</t>
  </si>
  <si>
    <t>DC offset</t>
  </si>
  <si>
    <t>4% DC offset</t>
  </si>
  <si>
    <t>DccFreq</t>
  </si>
  <si>
    <t>RxBwMant</t>
  </si>
  <si>
    <t>0,5 &lt;= 2 * Fdev / BR &lt;= 10 (modulation index, MI)</t>
  </si>
  <si>
    <t>RxBwExp</t>
  </si>
  <si>
    <t>BR &lt; 2 * RxBw (bit rate)</t>
  </si>
  <si>
    <t>RxBw &gt;= Fdev + BR/2 + LOoffset (receiver bandwidth)</t>
  </si>
  <si>
    <t>LOoffset = +/-10ppm (8.68kHz @ 868MHz)</t>
  </si>
  <si>
    <t>Fdev + BR / 2 &lt; 500 kHz</t>
  </si>
  <si>
    <t>1A</t>
  </si>
  <si>
    <t>8A</t>
  </si>
  <si>
    <t>RegAfcBw</t>
  </si>
  <si>
    <t>1B</t>
  </si>
  <si>
    <t>DccFreqAfc</t>
  </si>
  <si>
    <t>1C</t>
  </si>
  <si>
    <t>RxBwMantAfc</t>
  </si>
  <si>
    <t>1D</t>
  </si>
  <si>
    <t>RxBwExpAfc</t>
  </si>
  <si>
    <t>1E</t>
  </si>
  <si>
    <t>5C</t>
  </si>
  <si>
    <t>RegAfcFei</t>
  </si>
  <si>
    <t>FeiDone</t>
  </si>
  <si>
    <t>0→FEI is on-going 1→FEI finished</t>
  </si>
  <si>
    <t>FeiStart</t>
  </si>
  <si>
    <t>Triggers a FEI measurement when set. Always reads 0.</t>
  </si>
  <si>
    <t>AfcDone</t>
  </si>
  <si>
    <t>0→AFC is on-going 1→AFC has finished</t>
  </si>
  <si>
    <t>AfcAutoclearOn</t>
  </si>
  <si>
    <t>Only valid ifAfcAutoOnis set 0→AFC register is not cleared before a new AFC phase 1→AFC register is cleared before a new AFC phase</t>
  </si>
  <si>
    <t>AfcAutoOn</t>
  </si>
  <si>
    <t>0→AFC is performed each timeAfcStartis set 1→AFC is performed each time Rx mode is entered</t>
  </si>
  <si>
    <t>AfcClear</t>
  </si>
  <si>
    <t>Clears the AfcValue if set in Rx mode. Always reads 0</t>
  </si>
  <si>
    <t>AfcStart</t>
  </si>
  <si>
    <t>RegAfcMsb</t>
  </si>
  <si>
    <t>4C</t>
  </si>
  <si>
    <t>RegAfcLsb</t>
  </si>
  <si>
    <t>Frequency correction = AfcValue x Fstep</t>
  </si>
  <si>
    <t>0.5 &lt;= 2 * Fdev/BR &lt;= 10 (modulation index, MI)</t>
  </si>
  <si>
    <t>RegFeiMsb</t>
  </si>
  <si>
    <t>BR &lt; 2*RxBw (bit rate)</t>
  </si>
  <si>
    <t>RegFeiLsb</t>
  </si>
  <si>
    <t>Frequency error = FeiValue x Fstep</t>
  </si>
  <si>
    <t>RxBw &gt;= Fdev + BR/2 (receiver bandwidth)</t>
  </si>
  <si>
    <t>RegRssiConfig</t>
  </si>
  <si>
    <t>RxBwAfc &gt;= Fdev + BR/2 + LOoffset (receiver AFC bandwidth)</t>
  </si>
  <si>
    <t>B8</t>
  </si>
  <si>
    <t>RegRssiValue</t>
  </si>
  <si>
    <t>Fdev + BR/2 &lt; 500kHz (maximum RxBw setting)</t>
  </si>
  <si>
    <t>RegDioMapping1</t>
  </si>
  <si>
    <t>RegDioMapping2</t>
  </si>
  <si>
    <t>D8</t>
  </si>
  <si>
    <t>DC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</si>
  <si>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</si>
  <si>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</si>
  <si>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</si>
  <si>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</si>
  <si>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</si>
  <si>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</si>
  <si>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</si>
  <si>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</si>
  <si>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</si>
  <si>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8F</t>
  </si>
  <si>
    <t>3D</t>
  </si>
  <si>
    <t>3E</t>
  </si>
  <si>
    <t>3F</t>
  </si>
  <si>
    <t>6D</t>
  </si>
  <si>
    <t>6C</t>
  </si>
  <si>
    <t>6E</t>
  </si>
  <si>
    <t>4A</t>
  </si>
  <si>
    <t>4B</t>
  </si>
  <si>
    <t>4D</t>
  </si>
  <si>
    <t>4E</t>
  </si>
  <si>
    <t>4F</t>
  </si>
  <si>
    <t>Sensitivity boost</t>
  </si>
  <si>
    <t>0x1B → Normal mode, 0x2D → High sensitivity mode</t>
  </si>
  <si>
    <t>Set to 0x5D for +20 dBm operation on PA_BOOST.</t>
  </si>
  <si>
    <t>5A</t>
  </si>
  <si>
    <t>PA_BOOST</t>
  </si>
  <si>
    <t>0x55 → Normal mode and Rx mode</t>
  </si>
  <si>
    <t>5B</t>
  </si>
  <si>
    <t>0x5D → +20 dBm mode</t>
  </si>
  <si>
    <t>Revert to 0x55 when receiving or using PA0</t>
  </si>
  <si>
    <t>5D</t>
  </si>
  <si>
    <t>5E</t>
  </si>
  <si>
    <t>CA</t>
  </si>
  <si>
    <t>Set to 0x7C for +20 dBm operation on PA_BOOST</t>
  </si>
  <si>
    <t>5F</t>
  </si>
  <si>
    <t>Revert to 0x70 when receiving or using PA0</t>
  </si>
  <si>
    <t>0x70 → Normal mode and Rx mode</t>
  </si>
  <si>
    <t>F</t>
  </si>
  <si>
    <t>0x7C → +20 dBm mode</t>
  </si>
  <si>
    <t>6A</t>
  </si>
  <si>
    <t>6B</t>
  </si>
  <si>
    <t>C</t>
  </si>
  <si>
    <t>6F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</si>
</sst>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1.0"/>
      <color rgb="FF000000"/>
      <name val="Calibri"/>
    </font>
    <font>
      <sz val="11.0"/>
      <name val="Calibri"/>
    </font>
    <font>
      <u/>
      <sz val="11.0"/>
      <color rgb="FF00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FFD966"/>
        <bgColor rgb="FFFFD966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E06666"/>
        <bgColor rgb="FFE06666"/>
      </patternFill>
    </fill>
    <fill>
      <patternFill patternType="solid">
        <fgColor rgb="FFE7EAEF"/>
        <bgColor rgb="FFE7EAEF"/>
      </patternFill>
    </fill>
    <fill>
      <patternFill patternType="solid">
        <fgColor rgb="FFED7D31"/>
        <bgColor rgb="FFED7D31"/>
      </patternFill>
    </fill>
    <fill>
      <patternFill patternType="solid">
        <fgColor rgb="FFC65911"/>
        <bgColor rgb="FFC65911"/>
      </patternFill>
    </fill>
  </fills>
  <borders count="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Font="1"/>
    <xf borderId="0" fillId="2" fontId="1" numFmtId="0" xfId="0" applyAlignment="1" applyFill="1" applyFont="1">
      <alignment horizontal="right" shrinkToFit="0" vertical="bottom" wrapText="0"/>
    </xf>
    <xf borderId="0" fillId="2" fontId="1" numFmtId="0" xfId="0" applyAlignment="1" applyFont="1">
      <alignment horizontal="right" readingOrder="0" shrinkToFit="0" vertical="bottom" wrapText="0"/>
    </xf>
    <xf borderId="0" fillId="2" fontId="1" numFmtId="0" xfId="0" applyAlignment="1" applyFont="1">
      <alignment horizontal="center" shrinkToFit="0" vertical="bottom" wrapText="0"/>
    </xf>
    <xf borderId="0" fillId="2" fontId="1" numFmtId="0" xfId="0" applyAlignment="1" applyFont="1">
      <alignment shrinkToFit="0" vertical="bottom" wrapText="0"/>
    </xf>
    <xf borderId="0" fillId="3" fontId="2" numFmtId="0" xfId="0" applyAlignment="1" applyFill="1" applyFont="1">
      <alignment horizontal="right" shrinkToFit="0" vertical="bottom" wrapText="0"/>
    </xf>
    <xf borderId="0" fillId="4" fontId="1" numFmtId="0" xfId="0" applyAlignment="1" applyFill="1" applyFont="1">
      <alignment horizontal="right" shrinkToFit="0" vertical="bottom" wrapText="0"/>
    </xf>
    <xf borderId="0" fillId="4" fontId="1" numFmtId="0" xfId="0" applyAlignment="1" applyFont="1">
      <alignment horizontal="right" readingOrder="0" shrinkToFit="0" vertical="bottom" wrapText="0"/>
    </xf>
    <xf borderId="0" fillId="4" fontId="1" numFmtId="0" xfId="0" applyAlignment="1" applyFont="1">
      <alignment horizontal="center" shrinkToFit="0" vertical="bottom" wrapText="0"/>
    </xf>
    <xf borderId="0" fillId="4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5" fontId="1" numFmtId="0" xfId="0" applyAlignment="1" applyFill="1" applyFont="1">
      <alignment horizontal="right" shrinkToFit="0" vertical="bottom" wrapText="0"/>
    </xf>
    <xf borderId="0" fillId="5" fontId="1" numFmtId="0" xfId="0" applyAlignment="1" applyFont="1">
      <alignment horizontal="center" shrinkToFit="0" vertical="bottom" wrapText="0"/>
    </xf>
    <xf borderId="0" fillId="5" fontId="1" numFmtId="0" xfId="0" applyAlignment="1" applyFont="1">
      <alignment shrinkToFit="0" vertical="bottom" wrapText="0"/>
    </xf>
    <xf borderId="0" fillId="3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readingOrder="0"/>
    </xf>
    <xf borderId="0" fillId="0" fontId="3" numFmtId="0" xfId="0" applyAlignment="1" applyFont="1">
      <alignment shrinkToFit="0" vertical="bottom" wrapText="0"/>
    </xf>
    <xf borderId="0" fillId="4" fontId="1" numFmtId="1" xfId="0" applyAlignment="1" applyFont="1" applyNumberFormat="1">
      <alignment horizontal="center" shrinkToFit="0" vertical="bottom" wrapText="0"/>
    </xf>
    <xf borderId="0" fillId="6" fontId="1" numFmtId="0" xfId="0" applyFill="1" applyFont="1"/>
    <xf borderId="0" fillId="7" fontId="1" numFmtId="0" xfId="0" applyAlignment="1" applyFill="1" applyFont="1">
      <alignment horizontal="right" shrinkToFit="0" vertical="bottom" wrapText="0"/>
    </xf>
    <xf borderId="0" fillId="7" fontId="1" numFmtId="0" xfId="0" applyAlignment="1" applyFont="1">
      <alignment horizontal="right" readingOrder="0" shrinkToFit="0" vertical="bottom" wrapText="0"/>
    </xf>
    <xf borderId="0" fillId="7" fontId="1" numFmtId="0" xfId="0" applyAlignment="1" applyFont="1">
      <alignment horizontal="center" shrinkToFit="0" vertical="bottom" wrapText="0"/>
    </xf>
    <xf borderId="0" fillId="7" fontId="1" numFmtId="0" xfId="0" applyAlignment="1" applyFont="1">
      <alignment shrinkToFit="0" vertical="bottom" wrapText="0"/>
    </xf>
    <xf borderId="0" fillId="8" fontId="1" numFmtId="0" xfId="0" applyAlignment="1" applyFill="1" applyFont="1">
      <alignment horizontal="right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2" xfId="0" applyAlignment="1" applyBorder="1" applyFont="1" applyNumberFormat="1">
      <alignment horizontal="right"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3" fontId="1" numFmtId="1" xfId="0" applyAlignment="1" applyBorder="1" applyFont="1" applyNumberFormat="1">
      <alignment horizontal="right" shrinkToFit="0" vertical="bottom" wrapText="0"/>
    </xf>
    <xf borderId="5" fillId="0" fontId="1" numFmtId="0" xfId="0" applyAlignment="1" applyBorder="1" applyFont="1">
      <alignment shrinkToFit="0" vertical="bottom" wrapText="0"/>
    </xf>
    <xf borderId="6" fillId="3" fontId="1" numFmtId="1" xfId="0" applyAlignment="1" applyBorder="1" applyFont="1" applyNumberFormat="1">
      <alignment horizontal="right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0" fillId="7" fontId="1" numFmtId="0" xfId="0" applyAlignment="1" applyFont="1">
      <alignment readingOrder="0"/>
    </xf>
    <xf borderId="0" fillId="7" fontId="1" numFmtId="0" xfId="0" applyAlignment="1" applyFont="1">
      <alignment vertical="bottom"/>
    </xf>
    <xf borderId="0" fillId="7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7" fontId="1" numFmtId="0" xfId="0" applyFont="1"/>
    <xf borderId="2" fillId="0" fontId="1" numFmtId="0" xfId="0" applyAlignment="1" applyBorder="1" applyFont="1">
      <alignment horizontal="right" shrinkToFit="0" vertical="bottom" wrapText="0"/>
    </xf>
    <xf borderId="3" fillId="9" fontId="1" numFmtId="0" xfId="0" applyAlignment="1" applyBorder="1" applyFill="1" applyFont="1">
      <alignment readingOrder="0"/>
    </xf>
    <xf borderId="0" fillId="5" fontId="1" numFmtId="0" xfId="0" applyAlignment="1" applyFont="1">
      <alignment horizontal="right" readingOrder="0" shrinkToFit="0" vertical="bottom" wrapText="0"/>
    </xf>
    <xf borderId="0" fillId="5" fontId="1" numFmtId="0" xfId="0" applyAlignment="1" applyFont="1">
      <alignment readingOrder="0"/>
    </xf>
    <xf borderId="5" fillId="9" fontId="1" numFmtId="0" xfId="0" applyAlignment="1" applyBorder="1" applyFont="1">
      <alignment readingOrder="0"/>
    </xf>
    <xf borderId="0" fillId="5" fontId="2" numFmtId="0" xfId="0" applyAlignment="1" applyFont="1">
      <alignment shrinkToFit="0" vertical="bottom" wrapText="0"/>
    </xf>
    <xf borderId="8" fillId="9" fontId="1" numFmtId="0" xfId="0" applyAlignment="1" applyBorder="1" applyFont="1">
      <alignment readingOrder="0"/>
    </xf>
    <xf borderId="0" fillId="4" fontId="1" numFmtId="0" xfId="0" applyAlignment="1" applyFont="1">
      <alignment readingOrder="0" shrinkToFit="0" vertical="bottom" wrapText="0"/>
    </xf>
    <xf borderId="0" fillId="4" fontId="1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4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10" fontId="1" numFmtId="0" xfId="0" applyAlignment="1" applyFill="1" applyFont="1">
      <alignment readingOrder="0" shrinkToFit="0" vertical="bottom" wrapText="0"/>
    </xf>
    <xf borderId="0" fillId="10" fontId="1" numFmtId="0" xfId="0" applyAlignment="1" applyFont="1">
      <alignment shrinkToFit="0" vertical="bottom" wrapText="0"/>
    </xf>
    <xf borderId="0" fillId="10" fontId="1" numFmtId="0" xfId="0" applyAlignment="1" applyFont="1">
      <alignment horizontal="right" readingOrder="0" shrinkToFit="0" vertical="bottom" wrapText="0"/>
    </xf>
    <xf borderId="0" fillId="11" fontId="1" numFmtId="0" xfId="0" applyAlignment="1" applyFill="1" applyFont="1">
      <alignment readingOrder="0" shrinkToFit="0" vertical="bottom" wrapText="0"/>
    </xf>
    <xf borderId="0" fillId="11" fontId="1" numFmtId="0" xfId="0" applyAlignment="1" applyFont="1">
      <alignment horizontal="right" readingOrder="0" shrinkToFit="0" vertical="bottom" wrapText="0"/>
    </xf>
    <xf borderId="0" fillId="6" fontId="1" numFmtId="0" xfId="0" applyAlignment="1" applyFont="1">
      <alignment horizontal="left" readingOrder="0"/>
    </xf>
    <xf borderId="0" fillId="11" fontId="1" numFmtId="0" xfId="0" applyAlignment="1" applyFont="1">
      <alignment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ndrehessling.de/2015/02/07/figuring-out-the-power-level-settings-of-hoperfs-rfm69-hwhcw-modules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43"/>
    <col customWidth="1" min="2" max="2" width="4.71"/>
    <col customWidth="1" min="3" max="3" width="9.43"/>
    <col customWidth="1" min="4" max="4" width="15.0"/>
    <col customWidth="1" min="5" max="5" width="35.86"/>
    <col customWidth="1" min="6" max="7" width="14.43"/>
    <col customWidth="1" min="8" max="8" width="22.29"/>
    <col customWidth="1" min="9" max="9" width="26.57"/>
    <col customWidth="1" min="10" max="10" width="55.57"/>
    <col customWidth="1" min="11" max="11" width="59.43"/>
    <col customWidth="1" min="12" max="14" width="14.43"/>
  </cols>
  <sheetData>
    <row r="1" ht="15.75" customHeight="1">
      <c r="A1" s="1">
        <v>1.0</v>
      </c>
      <c r="B1" s="1">
        <v>10.0</v>
      </c>
      <c r="C1" s="2" t="str">
        <f t="shared" ref="C1:C25" si="1">HEX2BIN(B1,8)</f>
        <v>00010000</v>
      </c>
      <c r="D1" s="3"/>
      <c r="E1" s="3" t="s">
        <v>0</v>
      </c>
      <c r="F1" s="1">
        <f>32000000/2^19</f>
        <v>61.03515625</v>
      </c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5.75" customHeight="1">
      <c r="A2" s="1">
        <v>2.0</v>
      </c>
      <c r="B2" s="1">
        <v>0.0</v>
      </c>
      <c r="C2" s="2" t="str">
        <f t="shared" si="1"/>
        <v>00000000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5.75" customHeight="1">
      <c r="A3" s="5">
        <v>3.0</v>
      </c>
      <c r="B3" s="6">
        <v>2.0</v>
      </c>
      <c r="C3" s="7" t="str">
        <f t="shared" si="1"/>
        <v>00000010</v>
      </c>
      <c r="D3" s="8" t="s">
        <v>1</v>
      </c>
      <c r="E3" s="3" t="s">
        <v>2</v>
      </c>
      <c r="F3" s="9">
        <f>32000000/(BIN2DEC(LEFT(C3,8))*256+BIN2DEC(RIGHT(C4,8)))</f>
        <v>55555.55556</v>
      </c>
      <c r="G3" s="3" t="s">
        <v>3</v>
      </c>
      <c r="H3" s="3"/>
      <c r="I3" s="3"/>
      <c r="J3" s="3" t="s">
        <v>4</v>
      </c>
      <c r="K3" s="3" t="s">
        <v>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ht="15.75" customHeight="1">
      <c r="A4" s="5">
        <v>4.0</v>
      </c>
      <c r="B4" s="6">
        <v>40.0</v>
      </c>
      <c r="C4" s="7" t="str">
        <f t="shared" si="1"/>
        <v>01000000</v>
      </c>
      <c r="D4" s="8" t="s">
        <v>6</v>
      </c>
      <c r="E4" s="3"/>
      <c r="F4" s="3"/>
      <c r="G4" s="3"/>
      <c r="H4" s="3"/>
      <c r="I4" s="3"/>
      <c r="J4" s="3"/>
      <c r="K4" s="3" t="s">
        <v>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15.75" customHeight="1">
      <c r="A5" s="10">
        <v>5.0</v>
      </c>
      <c r="B5" s="11">
        <v>3.0</v>
      </c>
      <c r="C5" s="12" t="str">
        <f t="shared" si="1"/>
        <v>00000011</v>
      </c>
      <c r="D5" s="13" t="s">
        <v>8</v>
      </c>
      <c r="E5" s="14" t="s">
        <v>9</v>
      </c>
      <c r="F5" s="9">
        <f>F1*(BIN2DEC(RIGHT(C5,6))*256+BIN2DEC(RIGHT(C6,8)))</f>
        <v>49987.79297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15.75" customHeight="1">
      <c r="A6" s="10">
        <v>6.0</v>
      </c>
      <c r="B6" s="11">
        <v>33.0</v>
      </c>
      <c r="C6" s="12" t="str">
        <f t="shared" si="1"/>
        <v>00110011</v>
      </c>
      <c r="D6" s="13" t="s">
        <v>15</v>
      </c>
      <c r="E6" s="3"/>
      <c r="F6" s="3"/>
      <c r="G6" s="3"/>
      <c r="H6" s="1">
        <f>(F5+F3/2)/1000</f>
        <v>77.76557075</v>
      </c>
      <c r="I6" s="3" t="s">
        <v>16</v>
      </c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15.75" customHeight="1">
      <c r="A7" s="15">
        <v>7.0</v>
      </c>
      <c r="B7" s="15" t="s">
        <v>17</v>
      </c>
      <c r="C7" s="16" t="str">
        <f t="shared" si="1"/>
        <v>11011001</v>
      </c>
      <c r="D7" s="17" t="s">
        <v>18</v>
      </c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15.75" customHeight="1">
      <c r="A8" s="15">
        <v>8.0</v>
      </c>
      <c r="B8" s="15">
        <v>0.0</v>
      </c>
      <c r="C8" s="16" t="str">
        <f t="shared" si="1"/>
        <v>00000000</v>
      </c>
      <c r="D8" s="17" t="s">
        <v>19</v>
      </c>
      <c r="E8" s="3" t="s">
        <v>20</v>
      </c>
      <c r="F8" s="18">
        <f>F1*(BIN2DEC(RIGHT(C7,8))*65536+BIN2DEC(RIGHT(C8,8))*256+BIN2DEC(RIGHT(C9,8)))</f>
        <v>868000000</v>
      </c>
      <c r="G8" s="3" t="s">
        <v>21</v>
      </c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5.75" customHeight="1">
      <c r="A9" s="15">
        <v>9.0</v>
      </c>
      <c r="B9" s="15">
        <v>0.0</v>
      </c>
      <c r="C9" s="16" t="str">
        <f t="shared" si="1"/>
        <v>00000000</v>
      </c>
      <c r="D9" s="17" t="s">
        <v>22</v>
      </c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15.75" customHeight="1">
      <c r="A10" s="1" t="s">
        <v>23</v>
      </c>
      <c r="B10" s="1">
        <v>41.0</v>
      </c>
      <c r="C10" s="2" t="str">
        <f t="shared" si="1"/>
        <v>01000001</v>
      </c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15.75" customHeight="1">
      <c r="A11" s="1" t="s">
        <v>24</v>
      </c>
      <c r="B11" s="19">
        <v>40.0</v>
      </c>
      <c r="C11" s="2" t="str">
        <f t="shared" si="1"/>
        <v>01000000</v>
      </c>
      <c r="D11" s="20" t="s">
        <v>25</v>
      </c>
      <c r="E11" s="3"/>
      <c r="F11" s="3" t="str">
        <f>MID(C11,3,1)</f>
        <v>0</v>
      </c>
      <c r="G11" s="14" t="s">
        <v>26</v>
      </c>
      <c r="H11" s="3"/>
      <c r="I11" s="3"/>
      <c r="J11" s="3"/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15.75" customHeight="1">
      <c r="A12" s="1" t="s">
        <v>27</v>
      </c>
      <c r="B12" s="1">
        <v>2.0</v>
      </c>
      <c r="C12" s="2" t="str">
        <f t="shared" si="1"/>
        <v>00000010</v>
      </c>
      <c r="D12" s="4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15.75" customHeight="1">
      <c r="A13" s="1" t="s">
        <v>28</v>
      </c>
      <c r="B13" s="1">
        <v>92.0</v>
      </c>
      <c r="C13" s="2" t="str">
        <f t="shared" si="1"/>
        <v>10010010</v>
      </c>
      <c r="D13" s="20" t="s">
        <v>29</v>
      </c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15.75" customHeight="1">
      <c r="A14" s="1" t="s">
        <v>30</v>
      </c>
      <c r="B14" s="1" t="s">
        <v>31</v>
      </c>
      <c r="C14" s="2" t="str">
        <f t="shared" si="1"/>
        <v>11110101</v>
      </c>
      <c r="E14" s="3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15.75" customHeight="1">
      <c r="A15" s="1" t="s">
        <v>32</v>
      </c>
      <c r="B15" s="1">
        <v>20.0</v>
      </c>
      <c r="C15" s="2" t="str">
        <f t="shared" si="1"/>
        <v>00100000</v>
      </c>
      <c r="D15" s="3"/>
      <c r="E15" s="3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15.75" customHeight="1">
      <c r="A16" s="1">
        <v>10.0</v>
      </c>
      <c r="B16" s="1">
        <v>24.0</v>
      </c>
      <c r="C16" s="2" t="str">
        <f t="shared" si="1"/>
        <v>00100100</v>
      </c>
      <c r="D16" s="3"/>
      <c r="E16" s="4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15.75" customHeight="1">
      <c r="A17" s="10">
        <v>11.0</v>
      </c>
      <c r="B17" s="11">
        <v>60.0</v>
      </c>
      <c r="C17" s="12" t="str">
        <f t="shared" si="1"/>
        <v>01100000</v>
      </c>
      <c r="D17" s="13" t="s">
        <v>33</v>
      </c>
      <c r="E17" s="3" t="s">
        <v>34</v>
      </c>
      <c r="F17" s="3"/>
      <c r="G17" s="3"/>
      <c r="H17" s="3" t="s">
        <v>35</v>
      </c>
      <c r="I17" s="3" t="s">
        <v>36</v>
      </c>
      <c r="J17" s="3" t="s">
        <v>37</v>
      </c>
      <c r="K17" s="21" t="s">
        <v>38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5.75" customHeight="1">
      <c r="A18" s="1">
        <v>12.0</v>
      </c>
      <c r="B18" s="1">
        <v>9.0</v>
      </c>
      <c r="C18" s="2" t="str">
        <f t="shared" si="1"/>
        <v>00001001</v>
      </c>
      <c r="D18" s="20" t="s">
        <v>39</v>
      </c>
      <c r="E18" s="14" t="s">
        <v>40</v>
      </c>
      <c r="F18" s="3"/>
      <c r="G18" s="3"/>
      <c r="H18" s="3"/>
      <c r="I18" s="3"/>
      <c r="J18" s="3" t="s">
        <v>41</v>
      </c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15.75" customHeight="1">
      <c r="A19" s="10">
        <v>13.0</v>
      </c>
      <c r="B19" s="11" t="s">
        <v>42</v>
      </c>
      <c r="C19" s="22" t="str">
        <f t="shared" si="1"/>
        <v>00011111</v>
      </c>
      <c r="E19" s="3" t="s">
        <v>43</v>
      </c>
      <c r="F19" s="1">
        <f>45+5*BIN2DEC(RIGHT(C19,4))</f>
        <v>120</v>
      </c>
      <c r="G19" s="3" t="s">
        <v>44</v>
      </c>
      <c r="H19" s="3" t="str">
        <f>IF(BIN2DEC(MID(C19,4,1)) &gt; 0,"Overcurrent On","Overcurrent Off")</f>
        <v>Overcurrent On</v>
      </c>
      <c r="I19" s="4"/>
      <c r="J19" s="3" t="s">
        <v>45</v>
      </c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15.75" customHeight="1">
      <c r="A20" s="1">
        <v>14.0</v>
      </c>
      <c r="B20" s="1">
        <v>40.0</v>
      </c>
      <c r="C20" s="2" t="str">
        <f t="shared" si="1"/>
        <v>01000000</v>
      </c>
      <c r="D20" s="3"/>
      <c r="E20" s="3"/>
      <c r="F20" s="3"/>
      <c r="G20" s="3"/>
      <c r="H20" s="23"/>
      <c r="I20" s="3"/>
      <c r="J20" s="3" t="s">
        <v>46</v>
      </c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15.75" customHeight="1">
      <c r="A21" s="1">
        <v>15.0</v>
      </c>
      <c r="B21" s="1" t="s">
        <v>47</v>
      </c>
      <c r="C21" s="2" t="str">
        <f t="shared" si="1"/>
        <v>10110000</v>
      </c>
      <c r="D21" s="3"/>
      <c r="E21" s="3"/>
      <c r="F21" s="3"/>
      <c r="G21" s="3"/>
      <c r="H21" s="3"/>
      <c r="I21" s="3"/>
      <c r="J21" s="3" t="s">
        <v>48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5.75" customHeight="1">
      <c r="A22" s="1">
        <v>16.0</v>
      </c>
      <c r="B22" s="1" t="s">
        <v>49</v>
      </c>
      <c r="C22" s="2" t="str">
        <f t="shared" si="1"/>
        <v>01111011</v>
      </c>
      <c r="E22" s="3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5.75" customHeight="1">
      <c r="A23" s="1">
        <v>17.0</v>
      </c>
      <c r="B23" s="1" t="s">
        <v>50</v>
      </c>
      <c r="C23" s="2" t="str">
        <f t="shared" si="1"/>
        <v>10011011</v>
      </c>
      <c r="E23" s="3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5.75" customHeight="1">
      <c r="A24" s="1">
        <v>18.0</v>
      </c>
      <c r="B24" s="1">
        <v>8.0</v>
      </c>
      <c r="C24" s="2" t="str">
        <f t="shared" si="1"/>
        <v>00001000</v>
      </c>
      <c r="D24" s="20" t="s">
        <v>51</v>
      </c>
      <c r="E24" s="14" t="s">
        <v>52</v>
      </c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5.75" customHeight="1">
      <c r="A25" s="24">
        <v>19.0</v>
      </c>
      <c r="B25" s="25">
        <v>42.0</v>
      </c>
      <c r="C25" s="26" t="str">
        <f t="shared" si="1"/>
        <v>01000010</v>
      </c>
      <c r="D25" s="27" t="s">
        <v>53</v>
      </c>
      <c r="E25" s="3" t="s">
        <v>54</v>
      </c>
      <c r="F25" s="18">
        <f>32000000/(F28*2^(F29+2))</f>
        <v>125000</v>
      </c>
      <c r="G25" s="3" t="s">
        <v>10</v>
      </c>
      <c r="H25" s="3"/>
      <c r="I25" s="3" t="s">
        <v>55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5.75" customHeight="1">
      <c r="A26" s="1"/>
      <c r="B26" s="1"/>
      <c r="C26" s="2"/>
      <c r="D26" s="4"/>
      <c r="E26" s="1"/>
      <c r="F26" s="1" t="s">
        <v>56</v>
      </c>
      <c r="G26" s="4"/>
      <c r="H26" s="1" t="s">
        <v>57</v>
      </c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5.75" customHeight="1">
      <c r="A27" s="1"/>
      <c r="B27" s="1"/>
      <c r="C27" s="2"/>
      <c r="D27" s="27" t="s">
        <v>58</v>
      </c>
      <c r="E27" s="1" t="str">
        <f>LEFT(C25,3)</f>
        <v>010</v>
      </c>
      <c r="F27" s="18">
        <f>(4*F25)/(2*3.1415*2^(BIN2DEC(E27)+2))</f>
        <v>4973.73866</v>
      </c>
      <c r="G27" s="4" t="s">
        <v>10</v>
      </c>
      <c r="H27" s="28">
        <f>4%*F25</f>
        <v>5000</v>
      </c>
      <c r="I27" s="3" t="s">
        <v>10</v>
      </c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15.75" customHeight="1">
      <c r="A28" s="1"/>
      <c r="B28" s="1"/>
      <c r="C28" s="2"/>
      <c r="D28" s="27" t="s">
        <v>59</v>
      </c>
      <c r="E28" s="1" t="str">
        <f>MID(C25,4,2)</f>
        <v>00</v>
      </c>
      <c r="F28" s="28">
        <f>IF(E28="10",24,IF(E28="01",20,IF(E28="00",16)))</f>
        <v>16</v>
      </c>
      <c r="G28" s="4"/>
      <c r="H28" s="29"/>
      <c r="I28" s="30">
        <f>2*F5/F3</f>
        <v>1.799560547</v>
      </c>
      <c r="J28" s="31" t="s">
        <v>60</v>
      </c>
      <c r="K28" s="32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15.75" customHeight="1">
      <c r="A29" s="1"/>
      <c r="B29" s="1"/>
      <c r="C29" s="2"/>
      <c r="D29" s="27" t="s">
        <v>61</v>
      </c>
      <c r="E29" s="1" t="str">
        <f>RIGHT(C25,3)</f>
        <v>010</v>
      </c>
      <c r="F29" s="28">
        <f>BIN2DEC(E29)</f>
        <v>2</v>
      </c>
      <c r="G29" s="4"/>
      <c r="H29" s="33">
        <f>2*F25</f>
        <v>250000</v>
      </c>
      <c r="I29" s="2" t="str">
        <f>IF(F3&lt;2*F25,"OK","NOT OK")</f>
        <v>OK</v>
      </c>
      <c r="J29" s="3" t="s">
        <v>62</v>
      </c>
      <c r="K29" s="34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5.75" customHeight="1">
      <c r="A30" s="1"/>
      <c r="B30" s="1"/>
      <c r="C30" s="2"/>
      <c r="D30" s="3"/>
      <c r="E30" s="1"/>
      <c r="F30" s="1"/>
      <c r="G30" s="4"/>
      <c r="H30" s="33">
        <f>F5+(F3/2)+(F8*10^-5)</f>
        <v>86445.57075</v>
      </c>
      <c r="I30" s="2" t="str">
        <f>IF(F25&gt;F5+(F3/2)+(F8*10^-5),"OK","NOT OK")</f>
        <v>OK</v>
      </c>
      <c r="J30" s="3" t="s">
        <v>63</v>
      </c>
      <c r="K30" s="34" t="s">
        <v>64</v>
      </c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15.75" customHeight="1">
      <c r="A31" s="1"/>
      <c r="B31" s="1"/>
      <c r="C31" s="2"/>
      <c r="D31" s="3"/>
      <c r="E31" s="1"/>
      <c r="F31" s="1"/>
      <c r="G31" s="4"/>
      <c r="H31" s="35">
        <f>F5+(F3/2)</f>
        <v>77765.57075</v>
      </c>
      <c r="I31" s="36" t="str">
        <f>IF(F5+(F3/2),"OK","NOT OK")</f>
        <v>OK</v>
      </c>
      <c r="J31" s="37" t="s">
        <v>65</v>
      </c>
      <c r="K31" s="38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15.75" customHeight="1">
      <c r="A32" s="1"/>
      <c r="B32" s="1"/>
      <c r="C32" s="2"/>
      <c r="D32" s="20"/>
      <c r="E32" s="1"/>
      <c r="F32" s="1"/>
      <c r="G32" s="4"/>
      <c r="H32" s="4"/>
      <c r="I32" s="4"/>
      <c r="J32" s="4"/>
      <c r="K32" s="4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.75" customHeight="1">
      <c r="A33" s="1"/>
      <c r="B33" s="1"/>
      <c r="C33" s="2"/>
      <c r="D33" s="4"/>
      <c r="E33" s="1"/>
      <c r="F33" s="1"/>
      <c r="G33" s="4"/>
      <c r="H33" s="4"/>
      <c r="I33" s="4"/>
      <c r="J33" s="4"/>
      <c r="K33" s="4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15.75" customHeight="1">
      <c r="A34" s="24" t="s">
        <v>66</v>
      </c>
      <c r="B34" s="24" t="s">
        <v>67</v>
      </c>
      <c r="C34" s="26" t="str">
        <f t="shared" ref="C34:C37" si="2">HEX2BIN(B34,8)</f>
        <v>10001010</v>
      </c>
      <c r="D34" s="39" t="s">
        <v>68</v>
      </c>
      <c r="E34" s="4"/>
      <c r="F34" s="4"/>
      <c r="G34" s="4"/>
      <c r="H34" s="4"/>
      <c r="I34" s="4"/>
      <c r="J34" s="4"/>
      <c r="K34" s="4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15.75" customHeight="1">
      <c r="A35" s="1" t="s">
        <v>69</v>
      </c>
      <c r="B35" s="1">
        <v>40.0</v>
      </c>
      <c r="C35" s="2" t="str">
        <f t="shared" si="2"/>
        <v>01000000</v>
      </c>
      <c r="D35" s="40" t="s">
        <v>70</v>
      </c>
      <c r="E35" s="1" t="str">
        <f>LEFT(C34,3)</f>
        <v>100</v>
      </c>
      <c r="F35" s="4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15.75" customHeight="1">
      <c r="A36" s="1" t="s">
        <v>71</v>
      </c>
      <c r="B36" s="1">
        <v>80.0</v>
      </c>
      <c r="C36" s="2" t="str">
        <f t="shared" si="2"/>
        <v>10000000</v>
      </c>
      <c r="D36" s="40" t="s">
        <v>72</v>
      </c>
      <c r="E36" s="1" t="str">
        <f>MID(C34,4,2)</f>
        <v>01</v>
      </c>
      <c r="F36" s="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5.75" customHeight="1">
      <c r="A37" s="1" t="s">
        <v>73</v>
      </c>
      <c r="B37" s="1">
        <v>6.0</v>
      </c>
      <c r="C37" s="2" t="str">
        <f t="shared" si="2"/>
        <v>00000110</v>
      </c>
      <c r="D37" s="40" t="s">
        <v>74</v>
      </c>
      <c r="E37" s="1" t="str">
        <f>RIGHT(C34,3)</f>
        <v>010</v>
      </c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5.75" customHeight="1">
      <c r="A38" s="1"/>
      <c r="B38" s="1"/>
      <c r="C38" s="2"/>
      <c r="D38" s="20"/>
      <c r="E38" s="3"/>
      <c r="F38" s="3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5.75" customHeight="1">
      <c r="A39" s="24" t="s">
        <v>75</v>
      </c>
      <c r="B39" s="25" t="s">
        <v>76</v>
      </c>
      <c r="C39" s="26" t="str">
        <f>HEX2BIN(B39,8)</f>
        <v>01011100</v>
      </c>
      <c r="D39" s="41" t="s">
        <v>77</v>
      </c>
      <c r="E39" s="3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5.75" customHeight="1">
      <c r="A40" s="1"/>
      <c r="B40" s="1"/>
      <c r="C40" s="20"/>
      <c r="D40" s="41" t="s">
        <v>78</v>
      </c>
      <c r="E40" s="42" t="str">
        <f>MID(C$39,1,1)</f>
        <v>0</v>
      </c>
      <c r="F40" s="20"/>
      <c r="G40" s="20" t="s">
        <v>79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5.75" customHeight="1">
      <c r="A41" s="1"/>
      <c r="B41" s="1"/>
      <c r="C41" s="20"/>
      <c r="D41" s="41" t="s">
        <v>80</v>
      </c>
      <c r="E41" s="42" t="str">
        <f>MID(C$39,2,1)</f>
        <v>1</v>
      </c>
      <c r="F41" s="20"/>
      <c r="G41" s="20" t="s">
        <v>81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5.75" customHeight="1">
      <c r="A42" s="1"/>
      <c r="B42" s="1"/>
      <c r="C42" s="20"/>
      <c r="D42" s="41" t="s">
        <v>82</v>
      </c>
      <c r="E42" s="42" t="str">
        <f>MID(C$39,3,1)</f>
        <v>0</v>
      </c>
      <c r="F42" s="20"/>
      <c r="G42" s="20" t="s">
        <v>83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5.75" customHeight="1">
      <c r="A43" s="1"/>
      <c r="B43" s="1"/>
      <c r="C43" s="20"/>
      <c r="D43" s="41" t="s">
        <v>84</v>
      </c>
      <c r="E43" s="42" t="str">
        <f>MID(C$39,4,1)</f>
        <v>1</v>
      </c>
      <c r="F43" s="20"/>
      <c r="G43" s="20" t="s">
        <v>85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5.75" customHeight="1">
      <c r="A44" s="1"/>
      <c r="B44" s="1"/>
      <c r="C44" s="20"/>
      <c r="D44" s="41" t="s">
        <v>86</v>
      </c>
      <c r="E44" s="42" t="str">
        <f>MID(C$39,5,1)</f>
        <v>1</v>
      </c>
      <c r="F44" s="20"/>
      <c r="G44" s="20" t="s">
        <v>87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5.75" customHeight="1">
      <c r="A45" s="1"/>
      <c r="B45" s="1"/>
      <c r="C45" s="20"/>
      <c r="D45" s="41" t="s">
        <v>88</v>
      </c>
      <c r="E45" s="42" t="str">
        <f>MID(C$39,6,1)</f>
        <v>1</v>
      </c>
      <c r="F45" s="20"/>
      <c r="G45" s="20" t="s">
        <v>89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5.75" customHeight="1">
      <c r="A46" s="1"/>
      <c r="B46" s="1"/>
      <c r="C46" s="20"/>
      <c r="D46" s="41" t="s">
        <v>90</v>
      </c>
      <c r="E46" s="42" t="str">
        <f>MID(C$39,1,1)</f>
        <v>0</v>
      </c>
      <c r="F46" s="3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15.75" customHeight="1">
      <c r="A47" s="4"/>
      <c r="B47" s="4"/>
      <c r="C47" s="20"/>
      <c r="D47" s="4"/>
      <c r="E47" s="3"/>
      <c r="F47" s="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5.75" customHeight="1">
      <c r="A48" s="24" t="s">
        <v>42</v>
      </c>
      <c r="B48" s="25">
        <v>3.0</v>
      </c>
      <c r="C48" s="43" t="str">
        <f>HEX2BIN(B48,8)</f>
        <v>00000011</v>
      </c>
      <c r="D48" s="41" t="s">
        <v>91</v>
      </c>
      <c r="E48" s="3" t="str">
        <f>C48&amp;C49</f>
        <v>0000001101001100</v>
      </c>
      <c r="F48" s="3">
        <f>MOD(HEX2DEC(B48&amp;B49)+2^15,2^16)-2^15</f>
        <v>844</v>
      </c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15.75" customHeight="1">
      <c r="A49" s="24">
        <v>20.0</v>
      </c>
      <c r="B49" s="25" t="s">
        <v>92</v>
      </c>
      <c r="C49" s="26" t="str">
        <f t="shared" ref="C49:C96" si="3">HEX2BIN(B49,8)</f>
        <v>01001100</v>
      </c>
      <c r="D49" s="41" t="s">
        <v>93</v>
      </c>
      <c r="E49" s="14" t="s">
        <v>94</v>
      </c>
      <c r="F49" s="27">
        <f>F48*F1</f>
        <v>51513.67188</v>
      </c>
      <c r="G49" s="3" t="s">
        <v>10</v>
      </c>
      <c r="H49" s="29"/>
      <c r="I49" s="44">
        <f>2*F5/F3</f>
        <v>1.799560547</v>
      </c>
      <c r="J49" s="45" t="s">
        <v>95</v>
      </c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5.75" customHeight="1">
      <c r="A50" s="15">
        <v>21.0</v>
      </c>
      <c r="B50" s="46">
        <v>3.0</v>
      </c>
      <c r="C50" s="16" t="str">
        <f t="shared" si="3"/>
        <v>00000011</v>
      </c>
      <c r="D50" s="47" t="s">
        <v>96</v>
      </c>
      <c r="E50" s="3" t="str">
        <f>C50&amp;C51</f>
        <v>0000001101001100</v>
      </c>
      <c r="F50" s="3">
        <f>MOD(HEX2DEC(B50&amp;B51)+2^15,2^16)-2^15</f>
        <v>844</v>
      </c>
      <c r="G50" s="3"/>
      <c r="H50" s="33">
        <f>2*F25</f>
        <v>250000</v>
      </c>
      <c r="I50" s="2" t="str">
        <f>IF(F3&lt;2*F25,"OK","NOT OK")</f>
        <v>OK</v>
      </c>
      <c r="J50" s="48" t="s">
        <v>97</v>
      </c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5.75" customHeight="1">
      <c r="A51" s="15">
        <v>22.0</v>
      </c>
      <c r="B51" s="46" t="s">
        <v>92</v>
      </c>
      <c r="C51" s="16" t="str">
        <f t="shared" si="3"/>
        <v>01001100</v>
      </c>
      <c r="D51" s="49" t="s">
        <v>98</v>
      </c>
      <c r="E51" s="3" t="s">
        <v>99</v>
      </c>
      <c r="F51" s="17">
        <f>F50*F1</f>
        <v>51513.67188</v>
      </c>
      <c r="G51" s="3" t="s">
        <v>10</v>
      </c>
      <c r="H51" s="33">
        <f>F5+(F3/2)</f>
        <v>77765.57075</v>
      </c>
      <c r="I51" s="2" t="str">
        <f>IF(F25&gt;F5+(F3/2)+(F8*10^-5),"OK","NOT OK")</f>
        <v>OK</v>
      </c>
      <c r="J51" s="48" t="s">
        <v>100</v>
      </c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5.75" customHeight="1">
      <c r="A52" s="1">
        <v>23.0</v>
      </c>
      <c r="B52" s="1">
        <v>0.0</v>
      </c>
      <c r="C52" s="2" t="str">
        <f t="shared" si="3"/>
        <v>00000000</v>
      </c>
      <c r="D52" s="20" t="s">
        <v>101</v>
      </c>
      <c r="E52" s="3"/>
      <c r="F52" s="3"/>
      <c r="G52" s="3"/>
      <c r="H52" s="33">
        <f>F5+(F3/2)+(F8*10^-5)</f>
        <v>86445.57075</v>
      </c>
      <c r="I52" s="2" t="str">
        <f>IF(F5+(F3/2),"OK","NOT OK")</f>
        <v>OK</v>
      </c>
      <c r="J52" s="48" t="s">
        <v>102</v>
      </c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5.75" customHeight="1">
      <c r="A53" s="1">
        <v>24.0</v>
      </c>
      <c r="B53" s="1" t="s">
        <v>103</v>
      </c>
      <c r="C53" s="2" t="str">
        <f t="shared" si="3"/>
        <v>10111000</v>
      </c>
      <c r="D53" s="20" t="s">
        <v>104</v>
      </c>
      <c r="E53" s="3"/>
      <c r="F53" s="3"/>
      <c r="G53" s="3"/>
      <c r="H53" s="35">
        <f>F5+(F3/2)</f>
        <v>77765.57075</v>
      </c>
      <c r="I53" s="36" t="str">
        <f>IF(F5+(F3/2)&lt;500000,"OK","NOT OK")</f>
        <v>OK</v>
      </c>
      <c r="J53" s="50" t="s">
        <v>105</v>
      </c>
      <c r="K53" s="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5.75" customHeight="1">
      <c r="A54" s="1">
        <v>25.0</v>
      </c>
      <c r="B54" s="1">
        <v>40.0</v>
      </c>
      <c r="C54" s="2" t="str">
        <f t="shared" si="3"/>
        <v>01000000</v>
      </c>
      <c r="D54" s="20" t="s">
        <v>106</v>
      </c>
      <c r="E54" s="3"/>
      <c r="F54" s="3"/>
      <c r="G54" s="3"/>
      <c r="H54" s="3"/>
      <c r="I54" s="3"/>
      <c r="J54" s="3"/>
      <c r="K54" s="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5.75" customHeight="1">
      <c r="A55" s="1">
        <v>26.0</v>
      </c>
      <c r="B55" s="1">
        <v>7.0</v>
      </c>
      <c r="C55" s="2" t="str">
        <f t="shared" si="3"/>
        <v>00000111</v>
      </c>
      <c r="D55" s="20" t="s">
        <v>107</v>
      </c>
      <c r="E55" s="3"/>
      <c r="F55" s="3"/>
      <c r="G55" s="3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5.75" customHeight="1">
      <c r="A56" s="1">
        <v>27.0</v>
      </c>
      <c r="B56" s="1" t="s">
        <v>108</v>
      </c>
      <c r="C56" s="2" t="str">
        <f t="shared" si="3"/>
        <v>11011000</v>
      </c>
      <c r="E56" s="3"/>
      <c r="F56" s="3"/>
      <c r="G56" s="3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5.75" customHeight="1">
      <c r="A57" s="1">
        <v>28.0</v>
      </c>
      <c r="B57" s="1">
        <v>0.0</v>
      </c>
      <c r="C57" s="2" t="str">
        <f t="shared" si="3"/>
        <v>00000000</v>
      </c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5.75" customHeight="1">
      <c r="A58" s="1">
        <v>29.0</v>
      </c>
      <c r="B58" s="1" t="s">
        <v>109</v>
      </c>
      <c r="C58" s="2" t="str">
        <f t="shared" si="3"/>
        <v>11011100</v>
      </c>
      <c r="D58" s="3"/>
      <c r="E58" s="3"/>
      <c r="F58" s="3"/>
      <c r="G58" s="3"/>
      <c r="H58" s="3"/>
      <c r="I58" s="3"/>
      <c r="J58" s="3"/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5.75" customHeight="1">
      <c r="A59" s="1" t="s">
        <v>110</v>
      </c>
      <c r="B59" s="1">
        <v>0.0</v>
      </c>
      <c r="C59" s="2" t="str">
        <f t="shared" si="3"/>
        <v>00000000</v>
      </c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5.75" customHeight="1">
      <c r="A60" s="1" t="s">
        <v>111</v>
      </c>
      <c r="B60" s="1">
        <v>0.0</v>
      </c>
      <c r="C60" s="2" t="str">
        <f t="shared" si="3"/>
        <v>00000000</v>
      </c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5.75" customHeight="1">
      <c r="A61" s="1" t="s">
        <v>112</v>
      </c>
      <c r="B61" s="1">
        <v>0.0</v>
      </c>
      <c r="C61" s="2" t="str">
        <f t="shared" si="3"/>
        <v>00000000</v>
      </c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5.75" customHeight="1">
      <c r="A62" s="1" t="s">
        <v>113</v>
      </c>
      <c r="B62" s="1">
        <v>3.0</v>
      </c>
      <c r="C62" s="2" t="str">
        <f t="shared" si="3"/>
        <v>00000011</v>
      </c>
      <c r="D62" s="3"/>
      <c r="E62" s="3"/>
      <c r="F62" s="3"/>
      <c r="G62" s="3"/>
      <c r="H62" s="3"/>
      <c r="I62" s="3"/>
      <c r="J62" s="3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5.75" customHeight="1">
      <c r="A63" s="1" t="s">
        <v>114</v>
      </c>
      <c r="B63" s="1">
        <v>88.0</v>
      </c>
      <c r="C63" s="2" t="str">
        <f t="shared" si="3"/>
        <v>10001000</v>
      </c>
      <c r="D63" s="3"/>
      <c r="E63" s="3"/>
      <c r="F63" s="3"/>
      <c r="G63" s="3"/>
      <c r="H63" s="3"/>
      <c r="I63" s="3"/>
      <c r="J63" s="3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5.75" customHeight="1">
      <c r="A64" s="1" t="s">
        <v>115</v>
      </c>
      <c r="B64" s="1" t="s">
        <v>113</v>
      </c>
      <c r="C64" s="2" t="str">
        <f t="shared" si="3"/>
        <v>00101101</v>
      </c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5.75" customHeight="1">
      <c r="A65" s="1">
        <v>30.0</v>
      </c>
      <c r="B65" s="1">
        <v>64.0</v>
      </c>
      <c r="C65" s="2" t="str">
        <f t="shared" si="3"/>
        <v>01100100</v>
      </c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5.75" customHeight="1">
      <c r="A66" s="1">
        <v>31.0</v>
      </c>
      <c r="B66" s="1">
        <v>0.0</v>
      </c>
      <c r="C66" s="2" t="str">
        <f t="shared" si="3"/>
        <v>00000000</v>
      </c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5.75" customHeight="1">
      <c r="A67" s="1">
        <v>32.0</v>
      </c>
      <c r="B67" s="1">
        <v>0.0</v>
      </c>
      <c r="C67" s="2" t="str">
        <f t="shared" si="3"/>
        <v>00000000</v>
      </c>
      <c r="D67" s="3"/>
      <c r="E67" s="3"/>
      <c r="F67" s="3"/>
      <c r="G67" s="3"/>
      <c r="H67" s="3"/>
      <c r="I67" s="3"/>
      <c r="J67" s="3"/>
      <c r="K67" s="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5.75" customHeight="1">
      <c r="A68" s="1">
        <v>33.0</v>
      </c>
      <c r="B68" s="1">
        <v>0.0</v>
      </c>
      <c r="C68" s="2" t="str">
        <f t="shared" si="3"/>
        <v>00000000</v>
      </c>
      <c r="D68" s="3"/>
      <c r="E68" s="3"/>
      <c r="F68" s="3"/>
      <c r="G68" s="3"/>
      <c r="H68" s="3"/>
      <c r="I68" s="3"/>
      <c r="J68" s="3"/>
      <c r="K68" s="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5.75" customHeight="1">
      <c r="A69" s="1">
        <v>34.0</v>
      </c>
      <c r="B69" s="1">
        <v>0.0</v>
      </c>
      <c r="C69" s="2" t="str">
        <f t="shared" si="3"/>
        <v>00000000</v>
      </c>
      <c r="D69" s="3"/>
      <c r="E69" s="3"/>
      <c r="F69" s="3"/>
      <c r="G69" s="3"/>
      <c r="H69" s="3"/>
      <c r="I69" s="3"/>
      <c r="J69" s="3"/>
      <c r="K69" s="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5.75" customHeight="1">
      <c r="A70" s="1">
        <v>35.0</v>
      </c>
      <c r="B70" s="1">
        <v>0.0</v>
      </c>
      <c r="C70" s="2" t="str">
        <f t="shared" si="3"/>
        <v>00000000</v>
      </c>
      <c r="D70" s="3"/>
      <c r="E70" s="3"/>
      <c r="F70" s="3"/>
      <c r="G70" s="3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5.75" customHeight="1">
      <c r="A71" s="1">
        <v>36.0</v>
      </c>
      <c r="B71" s="1">
        <v>0.0</v>
      </c>
      <c r="C71" s="2" t="str">
        <f t="shared" si="3"/>
        <v>00000000</v>
      </c>
      <c r="D71" s="3"/>
      <c r="E71" s="3"/>
      <c r="F71" s="3"/>
      <c r="G71" s="3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5.75" customHeight="1">
      <c r="A72" s="1">
        <v>37.0</v>
      </c>
      <c r="B72" s="1">
        <v>90.0</v>
      </c>
      <c r="C72" s="2" t="str">
        <f t="shared" si="3"/>
        <v>10010000</v>
      </c>
      <c r="D72" s="3"/>
      <c r="E72" s="3"/>
      <c r="F72" s="3"/>
      <c r="G72" s="3"/>
      <c r="H72" s="3"/>
      <c r="I72" s="3"/>
      <c r="J72" s="3"/>
      <c r="K72" s="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5.75" customHeight="1">
      <c r="A73" s="1">
        <v>38.0</v>
      </c>
      <c r="B73" s="1">
        <v>42.0</v>
      </c>
      <c r="C73" s="2" t="str">
        <f t="shared" si="3"/>
        <v>01000010</v>
      </c>
      <c r="D73" s="3"/>
      <c r="E73" s="3"/>
      <c r="F73" s="3"/>
      <c r="G73" s="3"/>
      <c r="H73" s="3"/>
      <c r="I73" s="3"/>
      <c r="J73" s="3"/>
      <c r="K73" s="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5.75" customHeight="1">
      <c r="A74" s="1">
        <v>39.0</v>
      </c>
      <c r="B74" s="1">
        <v>0.0</v>
      </c>
      <c r="C74" s="2" t="str">
        <f t="shared" si="3"/>
        <v>00000000</v>
      </c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5.75" customHeight="1">
      <c r="A75" s="1" t="s">
        <v>116</v>
      </c>
      <c r="B75" s="1">
        <v>0.0</v>
      </c>
      <c r="C75" s="2" t="str">
        <f t="shared" si="3"/>
        <v>00000000</v>
      </c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5.75" customHeight="1">
      <c r="A76" s="1" t="s">
        <v>117</v>
      </c>
      <c r="B76" s="1">
        <v>0.0</v>
      </c>
      <c r="C76" s="2" t="str">
        <f t="shared" si="3"/>
        <v>00000000</v>
      </c>
      <c r="D76" s="3"/>
      <c r="E76" s="3"/>
      <c r="F76" s="3"/>
      <c r="G76" s="3"/>
      <c r="H76" s="3"/>
      <c r="I76" s="3"/>
      <c r="J76" s="3"/>
      <c r="K76" s="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5.75" customHeight="1">
      <c r="A77" s="1" t="s">
        <v>118</v>
      </c>
      <c r="B77" s="1" t="s">
        <v>119</v>
      </c>
      <c r="C77" s="2" t="str">
        <f t="shared" si="3"/>
        <v>10001111</v>
      </c>
      <c r="D77" s="3"/>
      <c r="E77" s="3"/>
      <c r="F77" s="3"/>
      <c r="G77" s="3"/>
      <c r="H77" s="3"/>
      <c r="I77" s="3"/>
      <c r="J77" s="3"/>
      <c r="K77" s="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5.75" customHeight="1">
      <c r="A78" s="1" t="s">
        <v>120</v>
      </c>
      <c r="B78" s="1">
        <v>13.0</v>
      </c>
      <c r="C78" s="2" t="str">
        <f t="shared" si="3"/>
        <v>00010011</v>
      </c>
      <c r="D78" s="3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5.75" customHeight="1">
      <c r="A79" s="1" t="s">
        <v>121</v>
      </c>
      <c r="B79" s="1">
        <v>73.0</v>
      </c>
      <c r="C79" s="2" t="str">
        <f t="shared" si="3"/>
        <v>01110011</v>
      </c>
      <c r="D79" s="3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5.75" customHeight="1">
      <c r="A80" s="1" t="s">
        <v>122</v>
      </c>
      <c r="B80" s="1">
        <v>61.0</v>
      </c>
      <c r="C80" s="2" t="str">
        <f t="shared" si="3"/>
        <v>01100001</v>
      </c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5.75" customHeight="1">
      <c r="A81" s="1">
        <v>40.0</v>
      </c>
      <c r="B81" s="1" t="s">
        <v>123</v>
      </c>
      <c r="C81" s="2" t="str">
        <f t="shared" si="3"/>
        <v>01101101</v>
      </c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5.75" customHeight="1">
      <c r="A82" s="1">
        <v>41.0</v>
      </c>
      <c r="B82" s="1">
        <v>70.0</v>
      </c>
      <c r="C82" s="2" t="str">
        <f t="shared" si="3"/>
        <v>01110000</v>
      </c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5.75" customHeight="1">
      <c r="A83" s="1">
        <v>42.0</v>
      </c>
      <c r="B83" s="1" t="s">
        <v>124</v>
      </c>
      <c r="C83" s="2" t="str">
        <f t="shared" si="3"/>
        <v>01101100</v>
      </c>
      <c r="D83" s="3"/>
      <c r="E83" s="3"/>
      <c r="F83" s="3"/>
      <c r="G83" s="3"/>
      <c r="H83" s="3"/>
      <c r="I83" s="3"/>
      <c r="J83" s="3"/>
      <c r="K83" s="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5.75" customHeight="1">
      <c r="A84" s="1">
        <v>43.0</v>
      </c>
      <c r="B84" s="1">
        <v>65.0</v>
      </c>
      <c r="C84" s="2" t="str">
        <f t="shared" si="3"/>
        <v>01100101</v>
      </c>
      <c r="D84" s="3"/>
      <c r="E84" s="3"/>
      <c r="F84" s="3"/>
      <c r="G84" s="3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5.75" customHeight="1">
      <c r="A85" s="1">
        <v>44.0</v>
      </c>
      <c r="B85" s="1">
        <v>45.0</v>
      </c>
      <c r="C85" s="2" t="str">
        <f t="shared" si="3"/>
        <v>01000101</v>
      </c>
      <c r="D85" s="3"/>
      <c r="E85" s="3"/>
      <c r="F85" s="3"/>
      <c r="G85" s="3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5.75" customHeight="1">
      <c r="A86" s="1">
        <v>45.0</v>
      </c>
      <c r="B86" s="1" t="s">
        <v>125</v>
      </c>
      <c r="C86" s="2" t="str">
        <f t="shared" si="3"/>
        <v>01101110</v>
      </c>
      <c r="D86" s="3"/>
      <c r="E86" s="3"/>
      <c r="F86" s="3"/>
      <c r="G86" s="3"/>
      <c r="H86" s="3"/>
      <c r="I86" s="3"/>
      <c r="J86" s="3"/>
      <c r="K86" s="3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5.75" customHeight="1">
      <c r="A87" s="1">
        <v>46.0</v>
      </c>
      <c r="B87" s="1">
        <v>63.0</v>
      </c>
      <c r="C87" s="2" t="str">
        <f t="shared" si="3"/>
        <v>01100011</v>
      </c>
      <c r="D87" s="3"/>
      <c r="E87" s="3"/>
      <c r="F87" s="3"/>
      <c r="G87" s="3"/>
      <c r="H87" s="3"/>
      <c r="I87" s="3"/>
      <c r="J87" s="3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5.75" customHeight="1">
      <c r="A88" s="1">
        <v>47.0</v>
      </c>
      <c r="B88" s="1">
        <v>72.0</v>
      </c>
      <c r="C88" s="2" t="str">
        <f t="shared" si="3"/>
        <v>01110010</v>
      </c>
      <c r="D88" s="3"/>
      <c r="E88" s="3"/>
      <c r="F88" s="3"/>
      <c r="G88" s="3"/>
      <c r="H88" s="3"/>
      <c r="I88" s="3"/>
      <c r="J88" s="3"/>
      <c r="K88" s="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5.75" customHeight="1">
      <c r="A89" s="1">
        <v>48.0</v>
      </c>
      <c r="B89" s="1">
        <v>79.0</v>
      </c>
      <c r="C89" s="2" t="str">
        <f t="shared" si="3"/>
        <v>01111001</v>
      </c>
      <c r="D89" s="3"/>
      <c r="E89" s="3"/>
      <c r="F89" s="3"/>
      <c r="G89" s="3"/>
      <c r="H89" s="3"/>
      <c r="I89" s="3"/>
      <c r="J89" s="3"/>
      <c r="K89" s="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5.75" customHeight="1">
      <c r="A90" s="1">
        <v>49.0</v>
      </c>
      <c r="B90" s="1">
        <v>70.0</v>
      </c>
      <c r="C90" s="2" t="str">
        <f t="shared" si="3"/>
        <v>01110000</v>
      </c>
      <c r="D90" s="3"/>
      <c r="E90" s="3"/>
      <c r="F90" s="3"/>
      <c r="G90" s="3"/>
      <c r="H90" s="3"/>
      <c r="I90" s="3"/>
      <c r="J90" s="3"/>
      <c r="K90" s="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5.75" customHeight="1">
      <c r="A91" s="1" t="s">
        <v>126</v>
      </c>
      <c r="B91" s="1">
        <v>74.0</v>
      </c>
      <c r="C91" s="2" t="str">
        <f t="shared" si="3"/>
        <v>01110100</v>
      </c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5.75" customHeight="1">
      <c r="A92" s="1" t="s">
        <v>127</v>
      </c>
      <c r="B92" s="1" t="s">
        <v>127</v>
      </c>
      <c r="C92" s="2" t="str">
        <f t="shared" si="3"/>
        <v>01001011</v>
      </c>
      <c r="D92" s="3"/>
      <c r="E92" s="3"/>
      <c r="F92" s="3"/>
      <c r="G92" s="3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5.75" customHeight="1">
      <c r="A93" s="1" t="s">
        <v>92</v>
      </c>
      <c r="B93" s="1">
        <v>65.0</v>
      </c>
      <c r="C93" s="2" t="str">
        <f t="shared" si="3"/>
        <v>01100101</v>
      </c>
      <c r="D93" s="3"/>
      <c r="E93" s="3"/>
      <c r="F93" s="3"/>
      <c r="G93" s="3"/>
      <c r="H93" s="3"/>
      <c r="I93" s="3"/>
      <c r="J93" s="3"/>
      <c r="K93" s="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5.75" customHeight="1">
      <c r="A94" s="1" t="s">
        <v>128</v>
      </c>
      <c r="B94" s="1">
        <v>79.0</v>
      </c>
      <c r="C94" s="2" t="str">
        <f t="shared" si="3"/>
        <v>01111001</v>
      </c>
      <c r="D94" s="3"/>
      <c r="E94" s="3"/>
      <c r="F94" s="3"/>
      <c r="G94" s="3"/>
      <c r="H94" s="3"/>
      <c r="I94" s="3"/>
      <c r="J94" s="3"/>
      <c r="K94" s="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5.75" customHeight="1">
      <c r="A95" s="1" t="s">
        <v>129</v>
      </c>
      <c r="B95" s="1">
        <v>1.0</v>
      </c>
      <c r="C95" s="2" t="str">
        <f t="shared" si="3"/>
        <v>00000001</v>
      </c>
      <c r="D95" s="3"/>
      <c r="E95" s="3"/>
      <c r="F95" s="3"/>
      <c r="G95" s="3"/>
      <c r="H95" s="3"/>
      <c r="I95" s="3"/>
      <c r="J95" s="3"/>
      <c r="K95" s="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5.75" customHeight="1">
      <c r="A96" s="1" t="s">
        <v>130</v>
      </c>
      <c r="B96" s="1">
        <v>0.0</v>
      </c>
      <c r="C96" s="2" t="str">
        <f t="shared" si="3"/>
        <v>00000000</v>
      </c>
      <c r="D96" s="3"/>
      <c r="E96" s="3"/>
      <c r="F96" s="3"/>
      <c r="G96" s="3"/>
      <c r="H96" s="3"/>
      <c r="I96" s="3"/>
      <c r="J96" s="3"/>
      <c r="K96" s="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5.75" customHeight="1">
      <c r="A97" s="51">
        <v>58.0</v>
      </c>
      <c r="B97" s="52" t="s">
        <v>69</v>
      </c>
      <c r="C97" s="52">
        <v>11011.0</v>
      </c>
      <c r="D97" s="53"/>
      <c r="E97" s="54" t="s">
        <v>131</v>
      </c>
      <c r="F97" s="53"/>
      <c r="G97" s="53"/>
      <c r="H97" s="53"/>
      <c r="I97" s="51" t="s">
        <v>132</v>
      </c>
      <c r="J97" s="55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ht="15.75" customHeight="1">
      <c r="A98" s="54">
        <v>59.0</v>
      </c>
      <c r="B98" s="56">
        <v>9.0</v>
      </c>
      <c r="C98" s="56">
        <v>1001.0</v>
      </c>
      <c r="D98" s="53"/>
      <c r="E98" s="53"/>
      <c r="F98" s="53"/>
      <c r="G98" s="53"/>
      <c r="H98" s="53"/>
      <c r="I98" s="57" t="s">
        <v>133</v>
      </c>
      <c r="J98" s="58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ht="15.75" customHeight="1">
      <c r="A99" s="57" t="s">
        <v>134</v>
      </c>
      <c r="B99" s="59">
        <v>55.0</v>
      </c>
      <c r="C99" s="59">
        <v>1010101.0</v>
      </c>
      <c r="D99" s="53"/>
      <c r="E99" s="54" t="s">
        <v>135</v>
      </c>
      <c r="F99" s="53"/>
      <c r="G99" s="53"/>
      <c r="H99" s="53"/>
      <c r="I99" s="57" t="s">
        <v>136</v>
      </c>
      <c r="J99" s="58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ht="15.75" customHeight="1">
      <c r="A100" s="54" t="s">
        <v>137</v>
      </c>
      <c r="B100" s="56">
        <v>80.0</v>
      </c>
      <c r="C100" s="56">
        <v>1.0E7</v>
      </c>
      <c r="D100" s="53"/>
      <c r="E100" s="53"/>
      <c r="F100" s="53"/>
      <c r="G100" s="53"/>
      <c r="H100" s="53"/>
      <c r="I100" s="57" t="s">
        <v>138</v>
      </c>
      <c r="J100" s="58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ht="15.75" customHeight="1">
      <c r="A101" s="60" t="s">
        <v>76</v>
      </c>
      <c r="B101" s="61">
        <v>70.0</v>
      </c>
      <c r="C101" s="61">
        <v>1110000.0</v>
      </c>
      <c r="D101" s="53"/>
      <c r="E101" s="62" t="s">
        <v>135</v>
      </c>
      <c r="F101" s="53"/>
      <c r="G101" s="53"/>
      <c r="H101" s="53"/>
      <c r="I101" s="57" t="s">
        <v>139</v>
      </c>
      <c r="J101" s="58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ht="15.75" customHeight="1">
      <c r="A102" s="54" t="s">
        <v>140</v>
      </c>
      <c r="B102" s="56">
        <v>33.0</v>
      </c>
      <c r="C102" s="56">
        <v>110011.0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ht="15.75" customHeight="1">
      <c r="A103" s="54" t="s">
        <v>141</v>
      </c>
      <c r="B103" s="56" t="s">
        <v>142</v>
      </c>
      <c r="C103" s="56">
        <v>1.100101E7</v>
      </c>
      <c r="D103" s="53"/>
      <c r="E103" s="53"/>
      <c r="F103" s="53"/>
      <c r="G103" s="53"/>
      <c r="H103" s="53"/>
      <c r="I103" s="60" t="s">
        <v>143</v>
      </c>
      <c r="J103" s="6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ht="15.75" customHeight="1">
      <c r="A104" s="54" t="s">
        <v>144</v>
      </c>
      <c r="B104" s="56">
        <v>8.0</v>
      </c>
      <c r="C104" s="56">
        <v>1000.0</v>
      </c>
      <c r="D104" s="53"/>
      <c r="E104" s="53"/>
      <c r="F104" s="53"/>
      <c r="G104" s="53"/>
      <c r="H104" s="53"/>
      <c r="I104" s="60" t="s">
        <v>145</v>
      </c>
      <c r="J104" s="6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ht="15.75" customHeight="1">
      <c r="A105" s="54">
        <v>60.0</v>
      </c>
      <c r="B105" s="56">
        <v>0.0</v>
      </c>
      <c r="C105" s="56">
        <v>0.0</v>
      </c>
      <c r="D105" s="53"/>
      <c r="E105" s="53"/>
      <c r="F105" s="53"/>
      <c r="G105" s="53"/>
      <c r="H105" s="53"/>
      <c r="I105" s="60" t="s">
        <v>146</v>
      </c>
      <c r="J105" s="6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ht="15.75" customHeight="1">
      <c r="A106" s="54">
        <v>61.0</v>
      </c>
      <c r="B106" s="56" t="s">
        <v>147</v>
      </c>
      <c r="C106" s="56">
        <v>1111.0</v>
      </c>
      <c r="D106" s="53"/>
      <c r="E106" s="53"/>
      <c r="F106" s="53"/>
      <c r="G106" s="53"/>
      <c r="H106" s="53"/>
      <c r="I106" s="60" t="s">
        <v>148</v>
      </c>
      <c r="J106" s="6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ht="15.75" customHeight="1">
      <c r="A107" s="54">
        <v>62.0</v>
      </c>
      <c r="B107" s="56">
        <v>0.0</v>
      </c>
      <c r="C107" s="56">
        <v>0.0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ht="15.75" customHeight="1">
      <c r="A108" s="54">
        <v>63.0</v>
      </c>
      <c r="B108" s="56">
        <v>0.0</v>
      </c>
      <c r="C108" s="56">
        <v>0.0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ht="15.75" customHeight="1">
      <c r="A109" s="54">
        <v>64.0</v>
      </c>
      <c r="B109" s="56">
        <v>0.0</v>
      </c>
      <c r="C109" s="56">
        <v>0.0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ht="15.75" customHeight="1">
      <c r="A110" s="54">
        <v>65.0</v>
      </c>
      <c r="B110" s="56" t="s">
        <v>147</v>
      </c>
      <c r="C110" s="56">
        <v>1111.0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ht="15.75" customHeight="1">
      <c r="A111" s="54">
        <v>66.0</v>
      </c>
      <c r="B111" s="56">
        <v>70.0</v>
      </c>
      <c r="C111" s="56">
        <v>1110000.0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ht="15.75" customHeight="1">
      <c r="A112" s="54">
        <v>67.0</v>
      </c>
      <c r="B112" s="56">
        <v>0.0</v>
      </c>
      <c r="C112" s="56">
        <v>0.0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ht="15.75" customHeight="1">
      <c r="A113" s="54">
        <v>68.0</v>
      </c>
      <c r="B113" s="56">
        <v>12.0</v>
      </c>
      <c r="C113" s="56">
        <v>10010.0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ht="15.75" customHeight="1">
      <c r="A114" s="54">
        <v>69.0</v>
      </c>
      <c r="B114" s="56">
        <v>15.0</v>
      </c>
      <c r="C114" s="56">
        <v>10101.0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ht="15.75" customHeight="1">
      <c r="A115" s="54" t="s">
        <v>149</v>
      </c>
      <c r="B115" s="56">
        <v>19.0</v>
      </c>
      <c r="C115" s="56">
        <v>11001.0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ht="15.75" customHeight="1">
      <c r="A116" s="54" t="s">
        <v>150</v>
      </c>
      <c r="B116" s="56" t="s">
        <v>69</v>
      </c>
      <c r="C116" s="56">
        <v>11011.0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ht="15.75" customHeight="1">
      <c r="A117" s="54" t="s">
        <v>124</v>
      </c>
      <c r="B117" s="56">
        <v>0.0</v>
      </c>
      <c r="C117" s="56">
        <v>0.0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ht="15.75" customHeight="1">
      <c r="A118" s="54" t="s">
        <v>123</v>
      </c>
      <c r="B118" s="56">
        <v>4.0</v>
      </c>
      <c r="C118" s="56">
        <v>100.0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ht="15.75" customHeight="1">
      <c r="A119" s="54" t="s">
        <v>125</v>
      </c>
      <c r="B119" s="56" t="s">
        <v>151</v>
      </c>
      <c r="C119" s="56">
        <v>1100.0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ht="15.75" customHeight="1">
      <c r="A120" s="54" t="s">
        <v>152</v>
      </c>
      <c r="B120" s="54">
        <v>30.0</v>
      </c>
      <c r="C120" s="56">
        <v>110000.0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ht="15.75" customHeight="1">
      <c r="A121" s="54">
        <v>70.0</v>
      </c>
      <c r="B121" s="54">
        <v>18.0</v>
      </c>
      <c r="C121" s="56">
        <v>11000.0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ht="15.75" customHeight="1">
      <c r="A122" s="54">
        <v>71.0</v>
      </c>
      <c r="B122" s="54">
        <v>0.0</v>
      </c>
      <c r="C122" s="56">
        <v>0.0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ht="15.75" customHeight="1">
      <c r="A123" s="54"/>
      <c r="B123" s="54"/>
      <c r="C123" s="5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ht="15.75" customHeight="1">
      <c r="A124" s="54"/>
      <c r="B124" s="54"/>
      <c r="C124" s="5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ht="15.75" customHeight="1">
      <c r="A125" s="54"/>
      <c r="B125" s="54"/>
      <c r="C125" s="5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ht="15.75" customHeight="1">
      <c r="A126" s="54"/>
      <c r="B126" s="54"/>
      <c r="C126" s="5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ht="15.75" customHeight="1">
      <c r="A127" s="54"/>
      <c r="B127" s="54"/>
      <c r="C127" s="5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ht="15.75" customHeight="1">
      <c r="A128" s="54"/>
      <c r="B128" s="54"/>
      <c r="C128" s="5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ht="15.75" customHeight="1">
      <c r="A129" s="54"/>
      <c r="B129" s="54"/>
      <c r="C129" s="5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ht="15.75" customHeight="1">
      <c r="A130" s="54"/>
      <c r="B130" s="54"/>
      <c r="C130" s="5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ht="15.75" customHeight="1">
      <c r="A131" s="54"/>
      <c r="B131" s="54"/>
      <c r="C131" s="5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ht="15.75" customHeight="1">
      <c r="A132" s="54"/>
      <c r="B132" s="54"/>
      <c r="C132" s="5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ht="15.75" customHeight="1">
      <c r="A133" s="54"/>
      <c r="B133" s="54"/>
      <c r="C133" s="5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ht="15.75" customHeight="1">
      <c r="A134" s="54"/>
      <c r="B134" s="54"/>
      <c r="C134" s="5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ht="15.75" customHeight="1">
      <c r="A135" s="54"/>
      <c r="B135" s="54"/>
      <c r="C135" s="5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ht="15.75" customHeight="1">
      <c r="A136" s="54"/>
      <c r="B136" s="54"/>
      <c r="C136" s="5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ht="15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ht="15.7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ht="15.7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ht="15.7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ht="15.7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ht="15.7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ht="15.7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</sheetData>
  <mergeCells count="2">
    <mergeCell ref="J21:K21"/>
    <mergeCell ref="I25:K25"/>
  </mergeCells>
  <conditionalFormatting sqref="I29 I50">
    <cfRule type="cellIs" dxfId="0" priority="1" operator="equal">
      <formula>"OK"</formula>
    </cfRule>
  </conditionalFormatting>
  <conditionalFormatting sqref="I29 I50">
    <cfRule type="cellIs" dxfId="1" priority="2" operator="equal">
      <formula>"NOT OK"</formula>
    </cfRule>
  </conditionalFormatting>
  <conditionalFormatting sqref="I30 I51">
    <cfRule type="cellIs" dxfId="0" priority="3" operator="equal">
      <formula>"OK"</formula>
    </cfRule>
  </conditionalFormatting>
  <conditionalFormatting sqref="I30 I51">
    <cfRule type="cellIs" dxfId="1" priority="4" operator="equal">
      <formula>"NOT OK"</formula>
    </cfRule>
  </conditionalFormatting>
  <conditionalFormatting sqref="I31 I52:I53">
    <cfRule type="cellIs" dxfId="0" priority="5" operator="equal">
      <formula>"OK"</formula>
    </cfRule>
  </conditionalFormatting>
  <conditionalFormatting sqref="I31 I52:I53">
    <cfRule type="cellIs" dxfId="1" priority="6" operator="equal">
      <formula>"NOT OK"</formula>
    </cfRule>
  </conditionalFormatting>
  <conditionalFormatting sqref="I28 I49">
    <cfRule type="cellIs" dxfId="1" priority="7" operator="lessThan">
      <formula>0.5</formula>
    </cfRule>
  </conditionalFormatting>
  <conditionalFormatting sqref="I28 I49">
    <cfRule type="cellIs" dxfId="1" priority="8" operator="greaterThan">
      <formula>10</formula>
    </cfRule>
  </conditionalFormatting>
  <conditionalFormatting sqref="I28 I49">
    <cfRule type="cellIs" dxfId="2" priority="9" operator="greaterThanOrEqual">
      <formula>0.5</formula>
    </cfRule>
  </conditionalFormatting>
  <conditionalFormatting sqref="I28 I49">
    <cfRule type="cellIs" dxfId="2" priority="10" operator="lessThanOrEqual">
      <formula>10</formula>
    </cfRule>
  </conditionalFormatting>
  <conditionalFormatting sqref="H19">
    <cfRule type="endsWith" dxfId="1" priority="11" operator="endsWith" text="Off">
      <formula>RIGHT((H19),LEN("Off"))=("Off")</formula>
    </cfRule>
  </conditionalFormatting>
  <conditionalFormatting sqref="H19">
    <cfRule type="endsWith" dxfId="0" priority="12" operator="endsWith" text="On">
      <formula>RIGHT((H19),LEN("On"))=("On")</formula>
    </cfRule>
  </conditionalFormatting>
  <hyperlinks>
    <hyperlink r:id="rId1" ref="K17"/>
  </hyperlinks>
  <drawing r:id="rId2"/>
</worksheet>
</file>